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192.168.31.1\Daten2\Daten Z\Online shop\Dokumente zum herunterladen\"/>
    </mc:Choice>
  </mc:AlternateContent>
  <xr:revisionPtr revIDLastSave="0" documentId="13_ncr:1_{BF2E22E0-F885-4848-9286-3E6892372FA4}" xr6:coauthVersionLast="47" xr6:coauthVersionMax="47" xr10:uidLastSave="{00000000-0000-0000-0000-000000000000}"/>
  <bookViews>
    <workbookView xWindow="-98" yWindow="-98" windowWidth="28996" windowHeight="15796" xr2:uid="{E5A081FB-C1AD-48E5-9559-283D5E335529}"/>
  </bookViews>
  <sheets>
    <sheet name="kalkulation" sheetId="1" r:id="rId1"/>
    <sheet name="Tabelle2" sheetId="2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A23" i="2" s="1"/>
  <c r="C30" i="1" s="1"/>
  <c r="H13" i="1" l="1"/>
  <c r="A27" i="2"/>
  <c r="D31" i="1"/>
  <c r="E31" i="1" s="1"/>
  <c r="A24" i="2"/>
  <c r="A26" i="2"/>
  <c r="A25" i="2"/>
  <c r="A18" i="2"/>
  <c r="A17" i="2"/>
  <c r="D25" i="1"/>
  <c r="E25" i="1" s="1"/>
  <c r="D26" i="1"/>
  <c r="E26" i="1" s="1"/>
  <c r="D24" i="1"/>
  <c r="E24" i="1" s="1"/>
  <c r="A15" i="2"/>
  <c r="D21" i="1"/>
  <c r="E21" i="1" s="1"/>
  <c r="A13" i="2"/>
  <c r="A12" i="2"/>
  <c r="A7" i="2"/>
  <c r="A6" i="2"/>
  <c r="A5" i="2"/>
  <c r="D13" i="1"/>
  <c r="G7" i="2"/>
  <c r="D7" i="2"/>
  <c r="E7" i="2" s="1"/>
  <c r="D20" i="1"/>
  <c r="E20" i="1" s="1"/>
  <c r="G13" i="2"/>
  <c r="D13" i="2"/>
  <c r="E13" i="2" s="1"/>
  <c r="E30" i="1" l="1"/>
  <c r="D30" i="1"/>
  <c r="D22" i="1"/>
  <c r="M6" i="2"/>
  <c r="D23" i="1" l="1"/>
  <c r="E23" i="1"/>
  <c r="A8" i="2"/>
  <c r="A9" i="2"/>
  <c r="D19" i="1" l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E13" i="1"/>
  <c r="D11" i="1"/>
  <c r="E11" i="1" s="1"/>
  <c r="D12" i="1"/>
  <c r="E12" i="1" s="1"/>
  <c r="H26" i="2"/>
  <c r="H24" i="2"/>
  <c r="H23" i="2"/>
  <c r="D26" i="2"/>
  <c r="E26" i="2" s="1"/>
  <c r="G26" i="2"/>
  <c r="I21" i="2"/>
  <c r="J21" i="2"/>
  <c r="H21" i="2"/>
  <c r="D22" i="2"/>
  <c r="G22" i="2"/>
  <c r="D23" i="2"/>
  <c r="E23" i="2" s="1"/>
  <c r="G23" i="2"/>
  <c r="D24" i="2"/>
  <c r="E24" i="2" s="1"/>
  <c r="G24" i="2"/>
  <c r="A16" i="2"/>
  <c r="H15" i="2"/>
  <c r="D15" i="2"/>
  <c r="E15" i="2" s="1"/>
  <c r="G15" i="2"/>
  <c r="A14" i="2"/>
  <c r="H14" i="2" s="1"/>
  <c r="H12" i="2"/>
  <c r="G12" i="2"/>
  <c r="G14" i="2"/>
  <c r="D12" i="2"/>
  <c r="E12" i="2" s="1"/>
  <c r="D14" i="2"/>
  <c r="E14" i="2" s="1"/>
  <c r="H16" i="2" l="1"/>
  <c r="C22" i="1"/>
  <c r="K21" i="2"/>
  <c r="I26" i="2"/>
  <c r="J26" i="2"/>
  <c r="J24" i="2"/>
  <c r="I24" i="2"/>
  <c r="J23" i="2"/>
  <c r="I23" i="2"/>
  <c r="E32" i="2"/>
  <c r="M18" i="2"/>
  <c r="A19" i="2" s="1"/>
  <c r="J15" i="2"/>
  <c r="I15" i="2"/>
  <c r="E22" i="1" s="1"/>
  <c r="J14" i="2"/>
  <c r="I14" i="2"/>
  <c r="J12" i="2"/>
  <c r="I12" i="2"/>
  <c r="C27" i="1" l="1"/>
  <c r="K24" i="2"/>
  <c r="N18" i="2"/>
  <c r="K26" i="2"/>
  <c r="K23" i="2"/>
  <c r="K15" i="2"/>
  <c r="K14" i="2"/>
  <c r="K12" i="2"/>
  <c r="D27" i="1" l="1"/>
  <c r="E27" i="1"/>
  <c r="A20" i="2"/>
  <c r="C28" i="1" s="1"/>
  <c r="H17" i="2"/>
  <c r="H18" i="2"/>
  <c r="H19" i="2"/>
  <c r="H25" i="2"/>
  <c r="H27" i="2"/>
  <c r="G16" i="2"/>
  <c r="J16" i="2" s="1"/>
  <c r="G17" i="2"/>
  <c r="J17" i="2" s="1"/>
  <c r="G18" i="2"/>
  <c r="J18" i="2" s="1"/>
  <c r="G19" i="2"/>
  <c r="J19" i="2" s="1"/>
  <c r="G20" i="2"/>
  <c r="G25" i="2"/>
  <c r="J25" i="2" s="1"/>
  <c r="G27" i="2"/>
  <c r="J27" i="2" s="1"/>
  <c r="E20" i="2"/>
  <c r="D16" i="2"/>
  <c r="E16" i="2" s="1"/>
  <c r="D17" i="2"/>
  <c r="E17" i="2" s="1"/>
  <c r="D18" i="2"/>
  <c r="E18" i="2" s="1"/>
  <c r="D19" i="2"/>
  <c r="E19" i="2" s="1"/>
  <c r="I19" i="2" s="1"/>
  <c r="D20" i="2"/>
  <c r="D25" i="2"/>
  <c r="E25" i="2" s="1"/>
  <c r="I25" i="2" s="1"/>
  <c r="D27" i="2"/>
  <c r="E27" i="2" s="1"/>
  <c r="I27" i="2" s="1"/>
  <c r="G8" i="2"/>
  <c r="G9" i="2"/>
  <c r="G10" i="2"/>
  <c r="G11" i="2"/>
  <c r="G6" i="2"/>
  <c r="G5" i="2"/>
  <c r="D6" i="2"/>
  <c r="E6" i="2" s="1"/>
  <c r="D8" i="2"/>
  <c r="E8" i="2" s="1"/>
  <c r="D9" i="2"/>
  <c r="E9" i="2" s="1"/>
  <c r="D10" i="2"/>
  <c r="E10" i="2" s="1"/>
  <c r="D11" i="2"/>
  <c r="E11" i="2" s="1"/>
  <c r="D5" i="2"/>
  <c r="E5" i="2" s="1"/>
  <c r="H6" i="2" l="1"/>
  <c r="I13" i="2"/>
  <c r="H13" i="2"/>
  <c r="J13" i="2"/>
  <c r="I17" i="2"/>
  <c r="K17" i="2" s="1"/>
  <c r="I18" i="2"/>
  <c r="K18" i="2" s="1"/>
  <c r="I16" i="2"/>
  <c r="K19" i="2"/>
  <c r="I5" i="2"/>
  <c r="K25" i="2"/>
  <c r="K27" i="2"/>
  <c r="J5" i="2"/>
  <c r="J6" i="2"/>
  <c r="I6" i="2"/>
  <c r="H5" i="2"/>
  <c r="K13" i="2" l="1"/>
  <c r="C32" i="2"/>
  <c r="K16" i="2"/>
  <c r="XFD16" i="2" s="1"/>
  <c r="A11" i="2"/>
  <c r="A10" i="2"/>
  <c r="K5" i="2"/>
  <c r="K6" i="2"/>
  <c r="E28" i="1" l="1"/>
  <c r="D28" i="1"/>
  <c r="C23" i="1"/>
  <c r="J7" i="2"/>
  <c r="I7" i="2"/>
  <c r="H7" i="2"/>
  <c r="A22" i="2"/>
  <c r="D32" i="2"/>
  <c r="H20" i="2"/>
  <c r="I20" i="2"/>
  <c r="J20" i="2"/>
  <c r="H9" i="2"/>
  <c r="J9" i="2"/>
  <c r="I9" i="2"/>
  <c r="H10" i="2"/>
  <c r="I10" i="2"/>
  <c r="J10" i="2"/>
  <c r="H11" i="2"/>
  <c r="J11" i="2"/>
  <c r="I11" i="2"/>
  <c r="H8" i="2"/>
  <c r="I8" i="2"/>
  <c r="J8" i="2"/>
  <c r="C29" i="1" l="1"/>
  <c r="E29" i="1"/>
  <c r="D29" i="1"/>
  <c r="K7" i="2"/>
  <c r="H22" i="2"/>
  <c r="H28" i="2" s="1"/>
  <c r="J22" i="2"/>
  <c r="J28" i="2" s="1"/>
  <c r="I22" i="2"/>
  <c r="F32" i="2"/>
  <c r="I32" i="2" s="1"/>
  <c r="J32" i="2" s="1"/>
  <c r="K32" i="2" s="1"/>
  <c r="K20" i="2"/>
  <c r="K9" i="2"/>
  <c r="K10" i="2"/>
  <c r="K8" i="2"/>
  <c r="K11" i="2"/>
  <c r="H12" i="1" l="1"/>
  <c r="E32" i="1"/>
  <c r="E34" i="1" s="1"/>
  <c r="E35" i="1" s="1"/>
  <c r="E36" i="1" s="1"/>
  <c r="K22" i="2"/>
  <c r="K28" i="2" s="1"/>
  <c r="C36" i="2" s="1"/>
  <c r="H17" i="1" s="1"/>
</calcChain>
</file>

<file path=xl/sharedStrings.xml><?xml version="1.0" encoding="utf-8"?>
<sst xmlns="http://schemas.openxmlformats.org/spreadsheetml/2006/main" count="104" uniqueCount="97">
  <si>
    <t>Schlachterei</t>
  </si>
  <si>
    <t>Installation</t>
  </si>
  <si>
    <t>Shop Überwachung</t>
  </si>
  <si>
    <t>Anwahl über Smartphone</t>
  </si>
  <si>
    <t>19% Mehrwertsteuer</t>
  </si>
  <si>
    <t>Gesamtsumme brutto</t>
  </si>
  <si>
    <t>Software Kassenüberwachung</t>
  </si>
  <si>
    <t>Aufzeichnungsgerät für 16 Kameras</t>
  </si>
  <si>
    <t>Aufzeichnungsgerät für 24 Kameras</t>
  </si>
  <si>
    <t>Aufzeichnungsgerät für 32 Kameras</t>
  </si>
  <si>
    <t>POE für Zusatzgeräte</t>
  </si>
  <si>
    <t>Installation 
St. V. Satz</t>
  </si>
  <si>
    <t>EK Preis</t>
  </si>
  <si>
    <t>VK Preis</t>
  </si>
  <si>
    <t>Min</t>
  </si>
  <si>
    <t>Auf-
schlag</t>
  </si>
  <si>
    <t>Stück</t>
  </si>
  <si>
    <t>Netzgerät für analoge Kameras</t>
  </si>
  <si>
    <t>Netzteil</t>
  </si>
  <si>
    <t>die Kabelverlegung erfolgt bauseits. Die Ausführende Firma wird von uns kostenlos eingewiesen.</t>
  </si>
  <si>
    <t>EK Preis
Gesamt</t>
  </si>
  <si>
    <t>VK Preis
Gesamt</t>
  </si>
  <si>
    <t>Monatge</t>
  </si>
  <si>
    <t>Gesamt
kosten</t>
  </si>
  <si>
    <t>Poe für 16 Zusatzgeräte (Audio)</t>
  </si>
  <si>
    <t>Geräte</t>
  </si>
  <si>
    <t>Wartung</t>
  </si>
  <si>
    <t>V Satz</t>
  </si>
  <si>
    <t>Kameras</t>
  </si>
  <si>
    <t>Recorder</t>
  </si>
  <si>
    <t>S.Ware</t>
  </si>
  <si>
    <t>sonstiges</t>
  </si>
  <si>
    <t>Software Recorder</t>
  </si>
  <si>
    <t>Software Parkplatzüberwachung</t>
  </si>
  <si>
    <t>Software Anwahl über Handy</t>
  </si>
  <si>
    <t>Wartungs-
pauschle</t>
  </si>
  <si>
    <t>2 mal im 
Jahr</t>
  </si>
  <si>
    <t>pro Monat</t>
  </si>
  <si>
    <t>Aufschaltung auf VideoBewachungsz.</t>
  </si>
  <si>
    <t>Miete</t>
  </si>
  <si>
    <t>Anzahl</t>
  </si>
  <si>
    <t>Aufschlag  
Miete</t>
  </si>
  <si>
    <t>Miete als Fullservice Vertrag</t>
  </si>
  <si>
    <t>Die nachfolgende Kalkulation rechnet Ihnen die circa Kosten aus, die bei einer Videoüberwachung entstehen.</t>
  </si>
  <si>
    <t>Sie können max. 32 IP Kameras und/oder 30 Analoge Kameras eingeben.</t>
  </si>
  <si>
    <t>Lager / Anlieferung</t>
  </si>
  <si>
    <t>Personenzählung</t>
  </si>
  <si>
    <t>Kassenüberwachung</t>
  </si>
  <si>
    <t>Gebäudesicherung</t>
  </si>
  <si>
    <t>Zutrittskontrolle</t>
  </si>
  <si>
    <t>Parkplatzüberwachung</t>
  </si>
  <si>
    <t>Audio / Lautsprecher aussen</t>
  </si>
  <si>
    <t>Audio / Lautsprecher innen</t>
  </si>
  <si>
    <t>IP Technik / 
Kameras, Audio und Zusatzgeräte</t>
  </si>
  <si>
    <t>Aufzeichnungsgerät</t>
  </si>
  <si>
    <t xml:space="preserve">Aufzeichnungsgerät </t>
  </si>
  <si>
    <t>Analoge Technik
Kameras, Zubehörteile</t>
  </si>
  <si>
    <t>Software</t>
  </si>
  <si>
    <t>Einzelpreis</t>
  </si>
  <si>
    <t>Gesamtpreis</t>
  </si>
  <si>
    <t>Leseeinheiten</t>
  </si>
  <si>
    <t>Audio Lautsprecher / aussen</t>
  </si>
  <si>
    <t xml:space="preserve">Summe netto
Material, Installation und Inbetriebnahme (ohne Kabelverlegung)  </t>
  </si>
  <si>
    <t>Recorder Software</t>
  </si>
  <si>
    <t>Software Zutrittskontrolle</t>
  </si>
  <si>
    <t>Wartung / Instandhaltung pro Monat</t>
  </si>
  <si>
    <t>Kalkulation für eine Videoüberwachungsanlage als Richtpreis</t>
  </si>
  <si>
    <t>alle Preise zzgl. MwSt.</t>
  </si>
  <si>
    <t xml:space="preserve">Inbetriebnahme und halbjährlich Wartung </t>
  </si>
  <si>
    <t xml:space="preserve">inkl. Anschaffungskosten, Insallation, </t>
  </si>
  <si>
    <t xml:space="preserve">bei einer Laufzeit von mindestens 36 </t>
  </si>
  <si>
    <t>Monaten.</t>
  </si>
  <si>
    <t>Anwahl über Smartphone bauseits durch Administrator</t>
  </si>
  <si>
    <t>Interventionen bei Alarm nach Zeit und Aufwand</t>
  </si>
  <si>
    <t>verschiedenen Software Nutzungen haben.</t>
  </si>
  <si>
    <t xml:space="preserve">Bitte beachten Sie, dass Sie bei analogen Kameras nur eine beschränkte Möglichkeit der </t>
  </si>
  <si>
    <t xml:space="preserve">Gerne erstellen wir Ihnen auch ein individuelles Angebot. Fordern Sie uns an unter </t>
  </si>
  <si>
    <t>beratung@doelling-sicherheit.de  oder tel: 02863 /38 029 67-0</t>
  </si>
  <si>
    <t>Innenkameras Netzwerk M 1145</t>
  </si>
  <si>
    <t>Aussenkameras Netzwerk Q1798</t>
  </si>
  <si>
    <t>Kameras für Personenzählung P8815-2</t>
  </si>
  <si>
    <t>Aufzeichnungsgerät für S2208</t>
  </si>
  <si>
    <t>Audio Lautsprecher / innen C1410</t>
  </si>
  <si>
    <t>Leseeinheit für Zutrittskontrolle A8004-VE</t>
  </si>
  <si>
    <t>Poe für 8 Zusatzgeräte170038</t>
  </si>
  <si>
    <t>Innenkameras Analog 226887</t>
  </si>
  <si>
    <t>Aussenkameras Analog 224296</t>
  </si>
  <si>
    <t>Aufzeichnungsgerät für je 16 Kameras</t>
  </si>
  <si>
    <t>Axis Camera Station</t>
  </si>
  <si>
    <t>Video Management Software</t>
  </si>
  <si>
    <t>Aufschaltung/VideoBewachungszentrale,monatl.</t>
  </si>
  <si>
    <t>Rauschbeerstr. 39</t>
  </si>
  <si>
    <t>48712 Gescher</t>
  </si>
  <si>
    <t>Mail: info@doelling-sicherheit.de</t>
  </si>
  <si>
    <t>Tel.: 02863 / 38 29 67-0</t>
  </si>
  <si>
    <t>Internet: www.doelling-sicherheit.de  www.videobewachung.com</t>
  </si>
  <si>
    <t>Erstellt für: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</si>
</sst>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37363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44" fontId="2" fillId="3" borderId="8" xfId="1" applyFont="1" applyFill="1" applyBorder="1" applyAlignment="1">
      <alignment vertical="center"/>
    </xf>
    <xf numFmtId="44" fontId="2" fillId="3" borderId="9" xfId="1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/>
    <xf numFmtId="44" fontId="0" fillId="4" borderId="1" xfId="1" applyFont="1" applyFill="1" applyBorder="1"/>
    <xf numFmtId="9" fontId="0" fillId="4" borderId="1" xfId="0" applyNumberFormat="1" applyFill="1" applyBorder="1"/>
    <xf numFmtId="0" fontId="0" fillId="3" borderId="1" xfId="0" applyFill="1" applyBorder="1"/>
    <xf numFmtId="44" fontId="0" fillId="3" borderId="1" xfId="0" applyNumberFormat="1" applyFill="1" applyBorder="1"/>
    <xf numFmtId="44" fontId="0" fillId="4" borderId="1" xfId="0" applyNumberFormat="1" applyFill="1" applyBorder="1"/>
    <xf numFmtId="44" fontId="0" fillId="5" borderId="1" xfId="0" applyNumberFormat="1" applyFill="1" applyBorder="1"/>
    <xf numFmtId="0" fontId="2" fillId="2" borderId="1" xfId="0" applyFont="1" applyFill="1" applyBorder="1"/>
    <xf numFmtId="8" fontId="0" fillId="0" borderId="0" xfId="0" applyNumberFormat="1"/>
    <xf numFmtId="0" fontId="0" fillId="0" borderId="0" xfId="0" applyAlignment="1">
      <alignment wrapText="1"/>
    </xf>
    <xf numFmtId="1" fontId="0" fillId="0" borderId="0" xfId="1" applyNumberFormat="1" applyFont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1" applyNumberFormat="1" applyFont="1"/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4" fontId="2" fillId="0" borderId="1" xfId="0" applyNumberFormat="1" applyFont="1" applyBorder="1"/>
    <xf numFmtId="0" fontId="2" fillId="2" borderId="0" xfId="0" applyFont="1" applyFill="1"/>
    <xf numFmtId="44" fontId="0" fillId="6" borderId="1" xfId="0" applyNumberFormat="1" applyFill="1" applyBorder="1"/>
    <xf numFmtId="44" fontId="0" fillId="6" borderId="1" xfId="1" applyFont="1" applyFill="1" applyBorder="1"/>
    <xf numFmtId="0" fontId="2" fillId="0" borderId="0" xfId="0" applyFont="1" applyAlignment="1">
      <alignment horizontal="center" vertical="center" wrapText="1"/>
    </xf>
    <xf numFmtId="9" fontId="0" fillId="0" borderId="0" xfId="0" applyNumberFormat="1"/>
    <xf numFmtId="0" fontId="0" fillId="2" borderId="0" xfId="0" applyFill="1"/>
    <xf numFmtId="44" fontId="2" fillId="0" borderId="0" xfId="1" applyFont="1"/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44" fontId="6" fillId="7" borderId="1" xfId="1" applyFont="1" applyFill="1" applyBorder="1" applyAlignment="1">
      <alignment vertical="center"/>
    </xf>
    <xf numFmtId="44" fontId="6" fillId="7" borderId="2" xfId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8" fontId="6" fillId="0" borderId="1" xfId="0" applyNumberFormat="1" applyFont="1" applyFill="1" applyBorder="1" applyAlignment="1">
      <alignment vertical="center"/>
    </xf>
    <xf numFmtId="0" fontId="6" fillId="7" borderId="1" xfId="0" applyFont="1" applyFill="1" applyBorder="1"/>
    <xf numFmtId="0" fontId="6" fillId="0" borderId="1" xfId="0" applyFont="1" applyFill="1" applyBorder="1" applyProtection="1">
      <protection locked="0"/>
    </xf>
    <xf numFmtId="44" fontId="6" fillId="7" borderId="1" xfId="1" applyFont="1" applyFill="1" applyBorder="1"/>
    <xf numFmtId="44" fontId="6" fillId="0" borderId="1" xfId="0" applyNumberFormat="1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 applyAlignment="1">
      <alignment vertical="center"/>
    </xf>
    <xf numFmtId="0" fontId="5" fillId="0" borderId="4" xfId="0" applyFont="1" applyBorder="1" applyAlignment="1"/>
    <xf numFmtId="0" fontId="6" fillId="0" borderId="10" xfId="0" applyFont="1" applyBorder="1" applyAlignment="1">
      <alignment wrapText="1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4" fontId="6" fillId="7" borderId="2" xfId="1" applyFont="1" applyFill="1" applyBorder="1"/>
    <xf numFmtId="0" fontId="6" fillId="8" borderId="1" xfId="0" applyFont="1" applyFill="1" applyBorder="1" applyAlignment="1">
      <alignment vertical="center"/>
    </xf>
    <xf numFmtId="44" fontId="6" fillId="8" borderId="1" xfId="1" applyFont="1" applyFill="1" applyBorder="1" applyAlignment="1">
      <alignment vertical="center"/>
    </xf>
    <xf numFmtId="44" fontId="6" fillId="8" borderId="2" xfId="1" applyFont="1" applyFill="1" applyBorder="1" applyAlignment="1">
      <alignment vertical="center"/>
    </xf>
    <xf numFmtId="0" fontId="6" fillId="8" borderId="1" xfId="0" applyFont="1" applyFill="1" applyBorder="1"/>
    <xf numFmtId="44" fontId="6" fillId="8" borderId="1" xfId="1" applyFont="1" applyFill="1" applyBorder="1"/>
    <xf numFmtId="44" fontId="6" fillId="8" borderId="2" xfId="1" applyFont="1" applyFill="1" applyBorder="1"/>
    <xf numFmtId="0" fontId="6" fillId="9" borderId="1" xfId="0" applyFont="1" applyFill="1" applyBorder="1"/>
    <xf numFmtId="44" fontId="6" fillId="9" borderId="1" xfId="1" applyFont="1" applyFill="1" applyBorder="1"/>
    <xf numFmtId="44" fontId="6" fillId="9" borderId="2" xfId="1" applyFont="1" applyFill="1" applyBorder="1"/>
    <xf numFmtId="0" fontId="6" fillId="10" borderId="1" xfId="0" applyFont="1" applyFill="1" applyBorder="1"/>
    <xf numFmtId="44" fontId="6" fillId="10" borderId="1" xfId="1" applyFont="1" applyFill="1" applyBorder="1"/>
    <xf numFmtId="44" fontId="6" fillId="10" borderId="2" xfId="1" applyFont="1" applyFill="1" applyBorder="1"/>
    <xf numFmtId="0" fontId="6" fillId="10" borderId="1" xfId="0" applyFont="1" applyFill="1" applyBorder="1" applyAlignment="1">
      <alignment wrapText="1"/>
    </xf>
    <xf numFmtId="0" fontId="6" fillId="10" borderId="2" xfId="0" applyFont="1" applyFill="1" applyBorder="1" applyAlignment="1">
      <alignment wrapText="1"/>
    </xf>
    <xf numFmtId="44" fontId="6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6" fillId="0" borderId="11" xfId="0" applyFont="1" applyBorder="1"/>
    <xf numFmtId="0" fontId="6" fillId="0" borderId="12" xfId="0" applyFont="1" applyBorder="1"/>
    <xf numFmtId="0" fontId="5" fillId="0" borderId="13" xfId="0" applyFont="1" applyBorder="1"/>
    <xf numFmtId="0" fontId="6" fillId="0" borderId="1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6" fillId="0" borderId="0" xfId="0" applyFont="1" applyAlignment="1">
      <alignment horizontal="righ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/>
    </xf>
    <xf numFmtId="44" fontId="5" fillId="0" borderId="4" xfId="0" applyNumberFormat="1" applyFont="1" applyFill="1" applyBorder="1" applyAlignment="1">
      <alignment horizontal="center" vertical="center"/>
    </xf>
    <xf numFmtId="44" fontId="5" fillId="0" borderId="10" xfId="0" applyNumberFormat="1" applyFont="1" applyFill="1" applyBorder="1" applyAlignment="1">
      <alignment horizontal="center" vertical="center"/>
    </xf>
    <xf numFmtId="44" fontId="5" fillId="0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10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66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1704974</xdr:colOff>
      <xdr:row>38</xdr:row>
      <xdr:rowOff>109538</xdr:rowOff>
    </xdr:from>
    <xdr:to>
      <xdr:col>7</xdr:col>
      <xdr:colOff>742950</xdr:colOff>
      <xdr:row>41</xdr:row>
      <xdr:rowOff>83994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28DAD9-859F-4586-8F29-B2B8193B8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4162" y="6962776"/>
          <a:ext cx="1566863" cy="422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FFF07-5C6E-4A30-817C-0FD6CBAC6ABA}">
  <sheetPr codeName="Tabelle1">
    <pageSetUpPr fitToPage="1"/>
  </sheetPr>
  <dimension ref="A1:S48"/>
  <sheetViews>
    <sheetView tabSelected="1" workbookViewId="0">
      <selection activeCell="C12" sqref="C12"/>
    </sheetView>
  </sheetViews>
  <sheetFormatPr baseColWidth="10" defaultRowHeight="11.65" x14ac:dyDescent="0.35"/>
  <cols>
    <col min="1" max="1" width="11.33203125" style="41" customWidth="1"/>
    <col min="2" max="2" width="25.06640625" style="41" customWidth="1"/>
    <col min="3" max="3" width="5.9296875" style="40" customWidth="1"/>
    <col min="4" max="4" width="11.33203125" style="40" customWidth="1"/>
    <col min="5" max="5" width="12.19921875" style="40" customWidth="1"/>
    <col min="6" max="6" width="3.1328125" style="41" customWidth="1"/>
    <col min="7" max="7" width="35.3984375" style="41" customWidth="1"/>
    <col min="8" max="8" width="10.73046875" style="41" customWidth="1"/>
    <col min="9" max="12" width="12.33203125" style="41" customWidth="1"/>
    <col min="13" max="13" width="14.3984375" style="41" customWidth="1"/>
    <col min="14" max="15" width="12.33203125" style="41" customWidth="1"/>
    <col min="16" max="16384" width="10.6640625" style="41"/>
  </cols>
  <sheetData>
    <row r="1" spans="1:19" x14ac:dyDescent="0.35">
      <c r="A1" s="40" t="s">
        <v>66</v>
      </c>
    </row>
    <row r="2" spans="1:19" ht="6.75" customHeight="1" x14ac:dyDescent="0.35"/>
    <row r="3" spans="1:19" x14ac:dyDescent="0.35">
      <c r="A3" s="41" t="s">
        <v>43</v>
      </c>
      <c r="C3" s="41"/>
      <c r="D3" s="41"/>
      <c r="E3" s="41"/>
    </row>
    <row r="4" spans="1:19" x14ac:dyDescent="0.35">
      <c r="A4" s="41" t="s">
        <v>44</v>
      </c>
      <c r="C4" s="41"/>
      <c r="D4" s="41"/>
      <c r="E4" s="41"/>
    </row>
    <row r="5" spans="1:19" x14ac:dyDescent="0.35">
      <c r="A5" s="41" t="s">
        <v>75</v>
      </c>
      <c r="C5" s="41"/>
      <c r="D5" s="41"/>
      <c r="E5" s="41"/>
    </row>
    <row r="6" spans="1:19" x14ac:dyDescent="0.35">
      <c r="A6" s="41" t="s">
        <v>74</v>
      </c>
      <c r="C6" s="41"/>
      <c r="D6" s="41"/>
      <c r="E6" s="41"/>
    </row>
    <row r="7" spans="1:19" x14ac:dyDescent="0.35">
      <c r="A7" s="41" t="s">
        <v>76</v>
      </c>
    </row>
    <row r="8" spans="1:19" x14ac:dyDescent="0.35">
      <c r="A8" s="40" t="s">
        <v>77</v>
      </c>
    </row>
    <row r="10" spans="1:19" s="46" customFormat="1" ht="25.15" customHeight="1" x14ac:dyDescent="0.45">
      <c r="A10" s="42"/>
      <c r="B10" s="43"/>
      <c r="C10" s="44" t="s">
        <v>40</v>
      </c>
      <c r="D10" s="44" t="s">
        <v>58</v>
      </c>
      <c r="E10" s="44" t="s">
        <v>59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9" ht="14.75" customHeight="1" x14ac:dyDescent="0.35">
      <c r="A11" s="103" t="s">
        <v>53</v>
      </c>
      <c r="B11" s="47" t="s">
        <v>2</v>
      </c>
      <c r="C11" s="48"/>
      <c r="D11" s="49">
        <f>IF(C11=0,0,Tabelle2!$E$5)</f>
        <v>0</v>
      </c>
      <c r="E11" s="50">
        <f>SUM(C11*D11)</f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S11" s="51"/>
    </row>
    <row r="12" spans="1:19" ht="14.75" customHeight="1" x14ac:dyDescent="0.35">
      <c r="A12" s="103"/>
      <c r="B12" s="47" t="s">
        <v>45</v>
      </c>
      <c r="C12" s="48"/>
      <c r="D12" s="49">
        <f>IF(C12=0,0,Tabelle2!$E$5)</f>
        <v>0</v>
      </c>
      <c r="E12" s="50">
        <f>SUM(C12*D12)</f>
        <v>0</v>
      </c>
      <c r="F12" s="45"/>
      <c r="G12" s="52" t="s">
        <v>65</v>
      </c>
      <c r="H12" s="53">
        <f>SUM(Tabelle2!K32)</f>
        <v>0</v>
      </c>
      <c r="I12" s="45"/>
      <c r="J12" s="45"/>
      <c r="K12" s="45"/>
      <c r="L12" s="45"/>
      <c r="M12" s="45"/>
      <c r="N12" s="45"/>
      <c r="O12" s="45"/>
    </row>
    <row r="13" spans="1:19" ht="14.75" customHeight="1" x14ac:dyDescent="0.35">
      <c r="A13" s="103"/>
      <c r="B13" s="54" t="s">
        <v>46</v>
      </c>
      <c r="C13" s="55"/>
      <c r="D13" s="56">
        <f>IF(C13=0,0,Tabelle2!$E$7)</f>
        <v>0</v>
      </c>
      <c r="E13" s="50">
        <f t="shared" ref="E13:E21" si="0">SUM(C13*D13)</f>
        <v>0</v>
      </c>
      <c r="F13" s="45"/>
      <c r="G13" s="52" t="s">
        <v>90</v>
      </c>
      <c r="H13" s="57">
        <f>SUM(Tabelle2!K34)</f>
        <v>95</v>
      </c>
      <c r="I13" s="45"/>
      <c r="J13" s="45"/>
      <c r="K13" s="45"/>
      <c r="L13" s="45"/>
      <c r="M13" s="45"/>
      <c r="N13" s="45"/>
      <c r="O13" s="45"/>
    </row>
    <row r="14" spans="1:19" x14ac:dyDescent="0.35">
      <c r="A14" s="103"/>
      <c r="B14" s="54" t="s">
        <v>49</v>
      </c>
      <c r="C14" s="55"/>
      <c r="D14" s="56">
        <f>IF(C14=0,0,Tabelle2!$E$6)</f>
        <v>0</v>
      </c>
      <c r="E14" s="50">
        <f t="shared" si="0"/>
        <v>0</v>
      </c>
      <c r="F14" s="45"/>
      <c r="G14" s="58" t="s">
        <v>73</v>
      </c>
      <c r="H14" s="59"/>
      <c r="I14" s="45"/>
      <c r="J14" s="45"/>
      <c r="K14" s="45"/>
      <c r="L14" s="45"/>
      <c r="M14" s="45"/>
      <c r="N14" s="45"/>
      <c r="O14" s="45"/>
    </row>
    <row r="15" spans="1:19" x14ac:dyDescent="0.35">
      <c r="A15" s="103"/>
      <c r="B15" s="54" t="s">
        <v>47</v>
      </c>
      <c r="C15" s="55"/>
      <c r="D15" s="56">
        <f>IF(C15=0,0,Tabelle2!$E$5)</f>
        <v>0</v>
      </c>
      <c r="E15" s="50">
        <f t="shared" si="0"/>
        <v>0</v>
      </c>
      <c r="F15" s="45"/>
      <c r="G15" s="110" t="s">
        <v>72</v>
      </c>
      <c r="H15" s="111"/>
      <c r="I15" s="45"/>
      <c r="J15" s="45"/>
      <c r="K15" s="45"/>
      <c r="L15" s="45"/>
      <c r="M15" s="45"/>
      <c r="N15" s="45"/>
      <c r="O15" s="45"/>
    </row>
    <row r="16" spans="1:19" x14ac:dyDescent="0.35">
      <c r="A16" s="103"/>
      <c r="B16" s="54" t="s">
        <v>0</v>
      </c>
      <c r="C16" s="55"/>
      <c r="D16" s="56">
        <f>IF(C16=0,0,Tabelle2!$E$5)</f>
        <v>0</v>
      </c>
      <c r="E16" s="50">
        <f t="shared" si="0"/>
        <v>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9" x14ac:dyDescent="0.35">
      <c r="A17" s="103"/>
      <c r="B17" s="54" t="s">
        <v>48</v>
      </c>
      <c r="C17" s="55"/>
      <c r="D17" s="56">
        <f>IF(C17=0,0,Tabelle2!$E$6)</f>
        <v>0</v>
      </c>
      <c r="E17" s="50">
        <f t="shared" si="0"/>
        <v>0</v>
      </c>
      <c r="F17" s="45"/>
      <c r="G17" s="60" t="s">
        <v>42</v>
      </c>
      <c r="H17" s="107">
        <f>SUM(Tabelle2!C36)</f>
        <v>0</v>
      </c>
      <c r="I17" s="45"/>
      <c r="J17" s="45"/>
      <c r="K17" s="45"/>
      <c r="L17" s="45"/>
      <c r="M17" s="45"/>
      <c r="N17" s="45"/>
      <c r="O17" s="45"/>
    </row>
    <row r="18" spans="1:19" x14ac:dyDescent="0.35">
      <c r="A18" s="103"/>
      <c r="B18" s="54" t="s">
        <v>50</v>
      </c>
      <c r="C18" s="55"/>
      <c r="D18" s="56">
        <f>IF(C18=0,0,Tabelle2!$E$6)</f>
        <v>0</v>
      </c>
      <c r="E18" s="50">
        <f t="shared" si="0"/>
        <v>0</v>
      </c>
      <c r="F18" s="45"/>
      <c r="G18" s="61" t="s">
        <v>70</v>
      </c>
      <c r="H18" s="108"/>
      <c r="I18" s="45"/>
      <c r="J18" s="45"/>
      <c r="K18" s="45"/>
      <c r="L18" s="45"/>
      <c r="M18" s="45"/>
      <c r="N18" s="45"/>
      <c r="O18" s="45"/>
    </row>
    <row r="19" spans="1:19" x14ac:dyDescent="0.35">
      <c r="A19" s="103"/>
      <c r="B19" s="54" t="s">
        <v>51</v>
      </c>
      <c r="C19" s="55"/>
      <c r="D19" s="56">
        <f>IF(C19=0,0,Tabelle2!$E$12)</f>
        <v>0</v>
      </c>
      <c r="E19" s="50">
        <f t="shared" si="0"/>
        <v>0</v>
      </c>
      <c r="F19" s="45"/>
      <c r="G19" s="62" t="s">
        <v>71</v>
      </c>
      <c r="H19" s="108"/>
      <c r="I19" s="45"/>
      <c r="J19" s="45"/>
      <c r="K19" s="45"/>
      <c r="L19" s="45"/>
      <c r="M19" s="45"/>
      <c r="N19" s="45"/>
      <c r="O19" s="45"/>
    </row>
    <row r="20" spans="1:19" x14ac:dyDescent="0.35">
      <c r="A20" s="103"/>
      <c r="B20" s="54" t="s">
        <v>52</v>
      </c>
      <c r="C20" s="55"/>
      <c r="D20" s="56">
        <f>IF(C20=0,0,Tabelle2!$E$13)</f>
        <v>0</v>
      </c>
      <c r="E20" s="50">
        <f t="shared" si="0"/>
        <v>0</v>
      </c>
      <c r="F20" s="45"/>
      <c r="G20" s="62" t="s">
        <v>69</v>
      </c>
      <c r="H20" s="108"/>
      <c r="I20" s="45"/>
      <c r="J20" s="45"/>
      <c r="K20" s="45"/>
      <c r="L20" s="45"/>
      <c r="M20" s="45"/>
      <c r="N20" s="45"/>
      <c r="O20" s="45"/>
    </row>
    <row r="21" spans="1:19" x14ac:dyDescent="0.35">
      <c r="A21" s="103"/>
      <c r="B21" s="54" t="s">
        <v>60</v>
      </c>
      <c r="C21" s="55"/>
      <c r="D21" s="56">
        <f>IF(C21=0,0,Tabelle2!E14)</f>
        <v>0</v>
      </c>
      <c r="E21" s="50">
        <f t="shared" si="0"/>
        <v>0</v>
      </c>
      <c r="F21" s="45"/>
      <c r="G21" s="63" t="s">
        <v>68</v>
      </c>
      <c r="H21" s="109"/>
      <c r="I21" s="45"/>
      <c r="J21" s="45"/>
      <c r="K21" s="45"/>
      <c r="L21" s="45"/>
      <c r="M21" s="45"/>
      <c r="N21" s="45"/>
      <c r="O21" s="45"/>
    </row>
    <row r="22" spans="1:19" x14ac:dyDescent="0.35">
      <c r="A22" s="103"/>
      <c r="B22" s="54" t="s">
        <v>10</v>
      </c>
      <c r="C22" s="54" t="str">
        <f>IF(Tabelle2!A15=1,Tabelle2!A15,IF(Tabelle2!A16=1,Tabelle2!A16,""))</f>
        <v/>
      </c>
      <c r="D22" s="56">
        <f>IF(Tabelle2!A15=0,0,Tabelle2!E15)</f>
        <v>0</v>
      </c>
      <c r="E22" s="50">
        <f>IF(Tabelle2!A15=0,0,Tabelle2!I15)</f>
        <v>0</v>
      </c>
      <c r="F22" s="45"/>
      <c r="G22" s="64" t="s">
        <v>67</v>
      </c>
      <c r="H22" s="64"/>
      <c r="I22" s="45"/>
      <c r="J22" s="45"/>
      <c r="K22" s="45"/>
      <c r="L22" s="45"/>
      <c r="M22" s="45"/>
      <c r="N22" s="45"/>
      <c r="O22" s="45"/>
    </row>
    <row r="23" spans="1:19" x14ac:dyDescent="0.35">
      <c r="A23" s="103"/>
      <c r="B23" s="54" t="s">
        <v>54</v>
      </c>
      <c r="C23" s="54" t="str">
        <f>IF(Tabelle2!A8=1,Tabelle2!A8,IF(Tabelle2!A9=1,Tabelle2!A9,IF(Tabelle2!A10=1,Tabelle2!A10,IF(Tabelle2!A11=1,Tabelle2!A11,""))))</f>
        <v/>
      </c>
      <c r="D23" s="56">
        <f>IF(Tabelle2!M6=0,0,IF(Tabelle2!M6&lt;9,Tabelle2!E8,IF(Tabelle2!M6&lt;17,Tabelle2!E9,IF(Tabelle2!M6&lt;25,Tabelle2!E10,IF(Tabelle2!M6&lt;33,Tabelle2!E11,)))))</f>
        <v>0</v>
      </c>
      <c r="E23" s="65">
        <f>IF(Tabelle2!M6=0,0,IF(Tabelle2!M6&lt;9,Tabelle2!E8,IF(Tabelle2!M6&lt;17,Tabelle2!E9,IF(Tabelle2!M6&lt;25,Tabelle2!E10,IF(Tabelle2!M6&lt;33,Tabelle2!E11,)))))</f>
        <v>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9" ht="14.25" customHeight="1" x14ac:dyDescent="0.35">
      <c r="A24" s="104" t="s">
        <v>56</v>
      </c>
      <c r="B24" s="66" t="s">
        <v>2</v>
      </c>
      <c r="C24" s="48"/>
      <c r="D24" s="67">
        <f>IF(C24=0,0,Tabelle2!E17)</f>
        <v>0</v>
      </c>
      <c r="E24" s="68">
        <f>SUM(C24*D24)</f>
        <v>0</v>
      </c>
      <c r="F24" s="45"/>
      <c r="G24" s="64"/>
      <c r="H24" s="45"/>
      <c r="I24" s="45"/>
      <c r="J24" s="45"/>
      <c r="K24" s="45"/>
      <c r="L24" s="45"/>
      <c r="M24" s="45"/>
      <c r="N24" s="45"/>
      <c r="O24" s="45"/>
      <c r="S24" s="51"/>
    </row>
    <row r="25" spans="1:19" x14ac:dyDescent="0.35">
      <c r="A25" s="105"/>
      <c r="B25" s="66" t="s">
        <v>45</v>
      </c>
      <c r="C25" s="48"/>
      <c r="D25" s="67">
        <f>IF(C25=0,0,Tabelle2!E17)</f>
        <v>0</v>
      </c>
      <c r="E25" s="68">
        <f t="shared" ref="E25:E26" si="1">SUM(C25*D25)</f>
        <v>0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9" x14ac:dyDescent="0.35">
      <c r="A26" s="105"/>
      <c r="B26" s="69" t="s">
        <v>48</v>
      </c>
      <c r="C26" s="55"/>
      <c r="D26" s="70">
        <f>IF(C26=0,0,Tabelle2!E18)</f>
        <v>0</v>
      </c>
      <c r="E26" s="68">
        <f t="shared" si="1"/>
        <v>0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9" x14ac:dyDescent="0.35">
      <c r="A27" s="105"/>
      <c r="B27" s="69" t="s">
        <v>55</v>
      </c>
      <c r="C27" s="69" t="str">
        <f>IF(Tabelle2!A19&gt;0,Tabelle2!A19,IF(Tabelle2!M18&gt;32,"zuviel Kameras",""))</f>
        <v/>
      </c>
      <c r="D27" s="70">
        <f>IF(Tabelle2!M18&gt;32,"zuviel Kameras",IF(Tabelle2!A19=0,0,Tabelle2!E19))</f>
        <v>0</v>
      </c>
      <c r="E27" s="68">
        <f>IF(Tabelle2!M18&gt;32,"zuviel Kameras",IF(Tabelle2!A19=0,0,Tabelle2!E19))</f>
        <v>0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9" x14ac:dyDescent="0.35">
      <c r="A28" s="105"/>
      <c r="B28" s="69" t="s">
        <v>17</v>
      </c>
      <c r="C28" s="69" t="str">
        <f>IF(Tabelle2!A20=0,"",Tabelle2!A20)</f>
        <v/>
      </c>
      <c r="D28" s="70">
        <f>IF(Tabelle2!A20=0,0,Tabelle2!E20)</f>
        <v>0</v>
      </c>
      <c r="E28" s="71">
        <f>IF(Tabelle2!A20=0,0,Tabelle2!E20)</f>
        <v>0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9" ht="14.25" customHeight="1" x14ac:dyDescent="0.35">
      <c r="A29" s="106" t="s">
        <v>57</v>
      </c>
      <c r="B29" s="72" t="s">
        <v>63</v>
      </c>
      <c r="C29" s="72" t="str">
        <f>IF(Tabelle2!A22=0,"",Tabelle2!A22)</f>
        <v/>
      </c>
      <c r="D29" s="73">
        <f>IF(Tabelle2!A22=0,0,Tabelle2!E22)</f>
        <v>0</v>
      </c>
      <c r="E29" s="74">
        <f>IF(Tabelle2!A22=0,0,Tabelle2!E22)</f>
        <v>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9" ht="14.25" customHeight="1" x14ac:dyDescent="0.35">
      <c r="A30" s="106"/>
      <c r="B30" s="72" t="s">
        <v>89</v>
      </c>
      <c r="C30" s="72" t="str">
        <f>IF(Tabelle2!A23=0,"",Tabelle2!A23)</f>
        <v/>
      </c>
      <c r="D30" s="73">
        <f>IF(Tabelle2!A23=0,0,Tabelle2!E23)</f>
        <v>0</v>
      </c>
      <c r="E30" s="74">
        <f>IF(Tabelle2!A23=0,0,Tabelle2!E23)</f>
        <v>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9" x14ac:dyDescent="0.35">
      <c r="A31" s="106"/>
      <c r="B31" s="72" t="s">
        <v>3</v>
      </c>
      <c r="C31" s="55"/>
      <c r="D31" s="73">
        <f>IF(C31=0,0,Tabelle2!E27)</f>
        <v>0</v>
      </c>
      <c r="E31" s="74">
        <f>SUM(C31*D31)</f>
        <v>0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9" x14ac:dyDescent="0.35">
      <c r="A32" s="112" t="s">
        <v>1</v>
      </c>
      <c r="B32" s="75" t="s">
        <v>1</v>
      </c>
      <c r="C32" s="75"/>
      <c r="D32" s="76"/>
      <c r="E32" s="77">
        <f>SUM(Tabelle2!J28)</f>
        <v>0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46.5" x14ac:dyDescent="0.35">
      <c r="A33" s="112"/>
      <c r="B33" s="78" t="s">
        <v>19</v>
      </c>
      <c r="C33" s="78"/>
      <c r="D33" s="78"/>
      <c r="E33" s="79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s="81" customFormat="1" ht="25.9" customHeight="1" x14ac:dyDescent="0.45">
      <c r="A34" s="113" t="s">
        <v>62</v>
      </c>
      <c r="B34" s="114"/>
      <c r="C34" s="114"/>
      <c r="D34" s="114"/>
      <c r="E34" s="80">
        <f>SUM(E11:E33)</f>
        <v>0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s="81" customFormat="1" ht="23.25" customHeight="1" x14ac:dyDescent="0.45">
      <c r="A35" s="114" t="s">
        <v>4</v>
      </c>
      <c r="B35" s="114"/>
      <c r="C35" s="114"/>
      <c r="D35" s="114"/>
      <c r="E35" s="80">
        <f>SUM(E34*0.19)</f>
        <v>0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s="81" customFormat="1" ht="23.25" customHeight="1" x14ac:dyDescent="0.45">
      <c r="A36" s="102" t="s">
        <v>5</v>
      </c>
      <c r="B36" s="102"/>
      <c r="C36" s="102"/>
      <c r="D36" s="102"/>
      <c r="E36" s="82">
        <f>SUM(E34:E35)</f>
        <v>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8" spans="1:15" ht="79.900000000000006" customHeight="1" x14ac:dyDescent="0.35"/>
    <row r="39" spans="1:15" ht="12" thickBot="1" x14ac:dyDescent="0.4"/>
    <row r="40" spans="1:15" x14ac:dyDescent="0.35">
      <c r="A40" s="83" t="s">
        <v>96</v>
      </c>
      <c r="B40" s="84"/>
      <c r="C40" s="85"/>
    </row>
    <row r="41" spans="1:15" x14ac:dyDescent="0.35">
      <c r="A41" s="93"/>
      <c r="B41" s="94"/>
      <c r="C41" s="95"/>
    </row>
    <row r="42" spans="1:15" x14ac:dyDescent="0.35">
      <c r="A42" s="96"/>
      <c r="B42" s="97"/>
      <c r="C42" s="98"/>
    </row>
    <row r="43" spans="1:15" x14ac:dyDescent="0.35">
      <c r="A43" s="99"/>
      <c r="B43" s="100"/>
      <c r="C43" s="101"/>
      <c r="G43" s="92" t="s">
        <v>91</v>
      </c>
      <c r="H43" s="92"/>
    </row>
    <row r="44" spans="1:15" x14ac:dyDescent="0.35">
      <c r="A44" s="96"/>
      <c r="B44" s="97"/>
      <c r="C44" s="98"/>
      <c r="G44" s="92" t="s">
        <v>92</v>
      </c>
      <c r="H44" s="92"/>
    </row>
    <row r="45" spans="1:15" x14ac:dyDescent="0.35">
      <c r="A45" s="99"/>
      <c r="B45" s="100"/>
      <c r="C45" s="101"/>
      <c r="G45" s="92" t="s">
        <v>93</v>
      </c>
      <c r="H45" s="92"/>
    </row>
    <row r="46" spans="1:15" x14ac:dyDescent="0.35">
      <c r="A46" s="96"/>
      <c r="B46" s="97"/>
      <c r="C46" s="98"/>
      <c r="G46" s="92" t="s">
        <v>94</v>
      </c>
      <c r="H46" s="92"/>
    </row>
    <row r="47" spans="1:15" x14ac:dyDescent="0.35">
      <c r="A47" s="86"/>
      <c r="B47" s="87"/>
      <c r="C47" s="88"/>
    </row>
    <row r="48" spans="1:15" ht="12" thickBot="1" x14ac:dyDescent="0.4">
      <c r="A48" s="89"/>
      <c r="B48" s="90"/>
      <c r="C48" s="91"/>
      <c r="G48" s="92" t="s">
        <v>95</v>
      </c>
      <c r="H48" s="92"/>
    </row>
  </sheetData>
  <sheetProtection algorithmName="SHA-512" hashValue="lzz69A9RorjDmumt3514FgA58Im8g8dXwS9utlx6RqHhZhXV/6PxLc5x9u8B5J2OEXwV/XkYCLobuuUK9W55Og==" saltValue="Hs+4vLJhRg0UbPQZO+B9Yg==" spinCount="100000" sheet="1" objects="1" scenarios="1"/>
  <mergeCells count="17">
    <mergeCell ref="A36:D36"/>
    <mergeCell ref="A11:A23"/>
    <mergeCell ref="A24:A28"/>
    <mergeCell ref="A29:A31"/>
    <mergeCell ref="G43:H43"/>
    <mergeCell ref="H17:H21"/>
    <mergeCell ref="G15:H15"/>
    <mergeCell ref="A32:A33"/>
    <mergeCell ref="A34:D34"/>
    <mergeCell ref="A35:D35"/>
    <mergeCell ref="G44:H44"/>
    <mergeCell ref="G45:H45"/>
    <mergeCell ref="G46:H46"/>
    <mergeCell ref="G48:H48"/>
    <mergeCell ref="A41:C42"/>
    <mergeCell ref="A43:C44"/>
    <mergeCell ref="A45:C46"/>
  </mergeCells>
  <pageMargins left="0.31496062992125984" right="0.31496062992125984" top="0.78740157480314965" bottom="0.39370078740157483" header="0.31496062992125984" footer="0.31496062992125984"/>
  <pageSetup paperSize="9" scale="84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F411-25DB-4C19-9A06-1C713BC8E82B}">
  <sheetPr codeName="Tabelle2"/>
  <dimension ref="A3:XFD36"/>
  <sheetViews>
    <sheetView workbookViewId="0">
      <selection activeCell="E35" sqref="E35"/>
    </sheetView>
  </sheetViews>
  <sheetFormatPr baseColWidth="10" defaultRowHeight="14.25" x14ac:dyDescent="0.45"/>
  <cols>
    <col min="1" max="1" width="7.6640625" customWidth="1"/>
    <col min="2" max="2" width="35.265625" customWidth="1"/>
    <col min="3" max="3" width="12.73046875" style="1" customWidth="1"/>
    <col min="4" max="4" width="8.1328125" customWidth="1"/>
    <col min="5" max="5" width="10.9296875" style="1"/>
    <col min="6" max="6" width="6.33203125" customWidth="1"/>
    <col min="8" max="8" width="11.33203125" customWidth="1"/>
    <col min="9" max="9" width="12.796875" customWidth="1"/>
    <col min="11" max="11" width="12.265625" customWidth="1"/>
    <col min="12" max="12" width="3.73046875" customWidth="1"/>
    <col min="13" max="13" width="7.46484375" style="7" customWidth="1"/>
  </cols>
  <sheetData>
    <row r="3" spans="1:14 16384:16384" s="4" customFormat="1" ht="28.8" customHeight="1" x14ac:dyDescent="0.45">
      <c r="A3" s="115" t="s">
        <v>16</v>
      </c>
      <c r="B3" s="115" t="s">
        <v>25</v>
      </c>
      <c r="C3" s="116" t="s">
        <v>12</v>
      </c>
      <c r="D3" s="10" t="s">
        <v>15</v>
      </c>
      <c r="E3" s="117" t="s">
        <v>13</v>
      </c>
      <c r="F3" s="123" t="s">
        <v>11</v>
      </c>
      <c r="G3" s="124"/>
      <c r="H3" s="119" t="s">
        <v>20</v>
      </c>
      <c r="I3" s="120" t="s">
        <v>21</v>
      </c>
      <c r="J3" s="121" t="s">
        <v>22</v>
      </c>
      <c r="K3" s="122" t="s">
        <v>23</v>
      </c>
      <c r="M3" s="5" t="s">
        <v>40</v>
      </c>
      <c r="N3" s="36" t="s">
        <v>41</v>
      </c>
    </row>
    <row r="4" spans="1:14 16384:16384" s="3" customFormat="1" x14ac:dyDescent="0.45">
      <c r="A4" s="115"/>
      <c r="B4" s="115"/>
      <c r="C4" s="116"/>
      <c r="D4" s="11">
        <v>0.5</v>
      </c>
      <c r="E4" s="117"/>
      <c r="F4" s="8" t="s">
        <v>14</v>
      </c>
      <c r="G4" s="9">
        <v>65</v>
      </c>
      <c r="H4" s="119"/>
      <c r="I4" s="120"/>
      <c r="J4" s="121"/>
      <c r="K4" s="122"/>
      <c r="M4" s="6" t="s">
        <v>25</v>
      </c>
    </row>
    <row r="5" spans="1:14 16384:16384" x14ac:dyDescent="0.45">
      <c r="A5" s="18">
        <f>SUM(kalkulation!C11+kalkulation!C12+kalkulation!C14+kalkulation!C15+kalkulation!C16)</f>
        <v>0</v>
      </c>
      <c r="B5" s="18" t="s">
        <v>78</v>
      </c>
      <c r="C5" s="12">
        <v>339.4</v>
      </c>
      <c r="D5" s="13">
        <f>SUM($D$4)</f>
        <v>0.5</v>
      </c>
      <c r="E5" s="35">
        <f>SUM((C5*D5)+C5)</f>
        <v>509.09999999999997</v>
      </c>
      <c r="F5" s="14">
        <v>60</v>
      </c>
      <c r="G5" s="15">
        <f>SUM(F5*$G$4/60)</f>
        <v>65</v>
      </c>
      <c r="H5" s="16">
        <f>SUM(C5*A5)</f>
        <v>0</v>
      </c>
      <c r="I5" s="34">
        <f>SUM(A5*E5)</f>
        <v>0</v>
      </c>
      <c r="J5" s="34">
        <f>SUM(A5*G5)</f>
        <v>0</v>
      </c>
      <c r="K5" s="17">
        <f>SUM(I5:J5)</f>
        <v>0</v>
      </c>
      <c r="N5" s="37">
        <v>7.0000000000000007E-2</v>
      </c>
    </row>
    <row r="6" spans="1:14 16384:16384" x14ac:dyDescent="0.45">
      <c r="A6" s="18">
        <f>SUM(kalkulation!C17+kalkulation!C18)</f>
        <v>0</v>
      </c>
      <c r="B6" s="18" t="s">
        <v>79</v>
      </c>
      <c r="C6" s="12">
        <v>1457.2</v>
      </c>
      <c r="D6" s="13">
        <f t="shared" ref="D6:D27" si="0">SUM($D$4)</f>
        <v>0.5</v>
      </c>
      <c r="E6" s="35">
        <f t="shared" ref="E6:E27" si="1">SUM((C6*D6)+C6)</f>
        <v>2185.8000000000002</v>
      </c>
      <c r="F6" s="14">
        <v>60</v>
      </c>
      <c r="G6" s="15">
        <f>SUM(F6*$G$4/60)</f>
        <v>65</v>
      </c>
      <c r="H6" s="16">
        <f t="shared" ref="H6:H27" si="2">SUM(C6*A6)</f>
        <v>0</v>
      </c>
      <c r="I6" s="34">
        <f t="shared" ref="I6:I27" si="3">SUM(A6*E6)</f>
        <v>0</v>
      </c>
      <c r="J6" s="34">
        <f t="shared" ref="J6:J27" si="4">SUM(A6*G6)</f>
        <v>0</v>
      </c>
      <c r="K6" s="17">
        <f t="shared" ref="K6:K27" si="5">SUM(I6:J6)</f>
        <v>0</v>
      </c>
      <c r="M6" s="7">
        <f>SUM(A5+A6+A7+A12+A13)</f>
        <v>0</v>
      </c>
    </row>
    <row r="7" spans="1:14 16384:16384" x14ac:dyDescent="0.45">
      <c r="A7" s="18">
        <f>SUM(kalkulation!C13)</f>
        <v>0</v>
      </c>
      <c r="B7" s="18" t="s">
        <v>80</v>
      </c>
      <c r="C7" s="12">
        <v>647.20000000000005</v>
      </c>
      <c r="D7" s="13">
        <f t="shared" si="0"/>
        <v>0.5</v>
      </c>
      <c r="E7" s="35">
        <f t="shared" ref="E7" si="6">SUM((C7*D7)+C7)</f>
        <v>970.80000000000007</v>
      </c>
      <c r="F7" s="14">
        <v>60</v>
      </c>
      <c r="G7" s="15">
        <f>SUM(F7*$G$4/60)</f>
        <v>65</v>
      </c>
      <c r="H7" s="16">
        <f t="shared" ref="H7" si="7">SUM(C7*A7)</f>
        <v>0</v>
      </c>
      <c r="I7" s="34">
        <f t="shared" ref="I7" si="8">SUM(A7*E7)</f>
        <v>0</v>
      </c>
      <c r="J7" s="34">
        <f t="shared" ref="J7" si="9">SUM(A7*G7)</f>
        <v>0</v>
      </c>
      <c r="K7" s="17">
        <f t="shared" ref="K7" si="10">SUM(I7:J7)</f>
        <v>0</v>
      </c>
      <c r="M7" s="7">
        <f>SUM(kalkulation!C13+kalkulation!C14+kalkulation!C16+kalkulation!C15+kalkulation!C18+kalkulation!C21)</f>
        <v>0</v>
      </c>
    </row>
    <row r="8" spans="1:14 16384:16384" x14ac:dyDescent="0.45">
      <c r="A8" s="18">
        <f>IF(AND(M6&gt;0,M6&lt;9),1,0)</f>
        <v>0</v>
      </c>
      <c r="B8" s="18" t="s">
        <v>81</v>
      </c>
      <c r="C8" s="12">
        <v>1862.2</v>
      </c>
      <c r="D8" s="13">
        <f t="shared" si="0"/>
        <v>0.5</v>
      </c>
      <c r="E8" s="35">
        <f t="shared" si="1"/>
        <v>2793.3</v>
      </c>
      <c r="F8" s="14">
        <v>180</v>
      </c>
      <c r="G8" s="15">
        <f t="shared" ref="G8:G27" si="11">SUM(F8*$G$4/60)</f>
        <v>195</v>
      </c>
      <c r="H8" s="16">
        <f t="shared" si="2"/>
        <v>0</v>
      </c>
      <c r="I8" s="34">
        <f t="shared" si="3"/>
        <v>0</v>
      </c>
      <c r="J8" s="34">
        <f t="shared" si="4"/>
        <v>0</v>
      </c>
      <c r="K8" s="17">
        <f t="shared" si="5"/>
        <v>0</v>
      </c>
    </row>
    <row r="9" spans="1:14 16384:16384" x14ac:dyDescent="0.45">
      <c r="A9" s="18">
        <f>IF(AND(M6&gt;8,M6&lt;17),1,0)</f>
        <v>0</v>
      </c>
      <c r="B9" s="18" t="s">
        <v>7</v>
      </c>
      <c r="C9" s="12">
        <v>3077.2</v>
      </c>
      <c r="D9" s="13">
        <f t="shared" si="0"/>
        <v>0.5</v>
      </c>
      <c r="E9" s="35">
        <f t="shared" si="1"/>
        <v>4615.7999999999993</v>
      </c>
      <c r="F9" s="14">
        <v>210</v>
      </c>
      <c r="G9" s="15">
        <f t="shared" si="11"/>
        <v>227.5</v>
      </c>
      <c r="H9" s="16">
        <f t="shared" si="2"/>
        <v>0</v>
      </c>
      <c r="I9" s="34">
        <f t="shared" si="3"/>
        <v>0</v>
      </c>
      <c r="J9" s="34">
        <f t="shared" si="4"/>
        <v>0</v>
      </c>
      <c r="K9" s="17">
        <f t="shared" si="5"/>
        <v>0</v>
      </c>
    </row>
    <row r="10" spans="1:14 16384:16384" x14ac:dyDescent="0.45">
      <c r="A10" s="18">
        <f>IF(AND(M6&gt;16,M6&lt;25),1,0)</f>
        <v>0</v>
      </c>
      <c r="B10" s="18" t="s">
        <v>8</v>
      </c>
      <c r="C10" s="12">
        <v>3644.2</v>
      </c>
      <c r="D10" s="13">
        <f t="shared" si="0"/>
        <v>0.5</v>
      </c>
      <c r="E10" s="35">
        <f t="shared" si="1"/>
        <v>5466.2999999999993</v>
      </c>
      <c r="F10" s="14">
        <v>240</v>
      </c>
      <c r="G10" s="15">
        <f t="shared" si="11"/>
        <v>260</v>
      </c>
      <c r="H10" s="16">
        <f t="shared" si="2"/>
        <v>0</v>
      </c>
      <c r="I10" s="34">
        <f t="shared" si="3"/>
        <v>0</v>
      </c>
      <c r="J10" s="34">
        <f t="shared" si="4"/>
        <v>0</v>
      </c>
      <c r="K10" s="17">
        <f t="shared" si="5"/>
        <v>0</v>
      </c>
    </row>
    <row r="11" spans="1:14 16384:16384" x14ac:dyDescent="0.45">
      <c r="A11" s="18">
        <f>IF(AND(M6&gt;24,M6&lt;33),1,0)</f>
        <v>0</v>
      </c>
      <c r="B11" s="18" t="s">
        <v>9</v>
      </c>
      <c r="C11" s="12">
        <v>4454.1899999999996</v>
      </c>
      <c r="D11" s="13">
        <f t="shared" si="0"/>
        <v>0.5</v>
      </c>
      <c r="E11" s="35">
        <f t="shared" si="1"/>
        <v>6681.2849999999999</v>
      </c>
      <c r="F11" s="14">
        <v>280</v>
      </c>
      <c r="G11" s="15">
        <f t="shared" si="11"/>
        <v>303.33333333333331</v>
      </c>
      <c r="H11" s="16">
        <f t="shared" si="2"/>
        <v>0</v>
      </c>
      <c r="I11" s="34">
        <f t="shared" si="3"/>
        <v>0</v>
      </c>
      <c r="J11" s="34">
        <f t="shared" si="4"/>
        <v>0</v>
      </c>
      <c r="K11" s="17">
        <f t="shared" si="5"/>
        <v>0</v>
      </c>
    </row>
    <row r="12" spans="1:14 16384:16384" x14ac:dyDescent="0.45">
      <c r="A12" s="18">
        <f>SUM(kalkulation!C19)</f>
        <v>0</v>
      </c>
      <c r="B12" s="18" t="s">
        <v>61</v>
      </c>
      <c r="C12" s="12">
        <v>404.2</v>
      </c>
      <c r="D12" s="13">
        <f t="shared" si="0"/>
        <v>0.5</v>
      </c>
      <c r="E12" s="35">
        <f t="shared" ref="E12:E14" si="12">SUM((C12*D12)+C12)</f>
        <v>606.29999999999995</v>
      </c>
      <c r="F12" s="14">
        <v>60</v>
      </c>
      <c r="G12" s="15">
        <f t="shared" ref="G12:G14" si="13">SUM(F12*$G$4/60)</f>
        <v>65</v>
      </c>
      <c r="H12" s="16">
        <f t="shared" ref="H12:H14" si="14">SUM(C12*A12)</f>
        <v>0</v>
      </c>
      <c r="I12" s="34">
        <f t="shared" ref="I12:I14" si="15">SUM(A12*E12)</f>
        <v>0</v>
      </c>
      <c r="J12" s="34">
        <f t="shared" ref="J12:J14" si="16">SUM(A12*G12)</f>
        <v>0</v>
      </c>
      <c r="K12" s="17">
        <f t="shared" ref="K12:K14" si="17">SUM(I12:J12)</f>
        <v>0</v>
      </c>
    </row>
    <row r="13" spans="1:14 16384:16384" x14ac:dyDescent="0.45">
      <c r="A13" s="18">
        <f>SUM(kalkulation!C20)</f>
        <v>0</v>
      </c>
      <c r="B13" s="18" t="s">
        <v>82</v>
      </c>
      <c r="C13" s="12">
        <v>242.2</v>
      </c>
      <c r="D13" s="13">
        <f t="shared" si="0"/>
        <v>0.5</v>
      </c>
      <c r="E13" s="35">
        <f t="shared" ref="E13" si="18">SUM((C13*D13)+C13)</f>
        <v>363.29999999999995</v>
      </c>
      <c r="F13" s="14">
        <v>60</v>
      </c>
      <c r="G13" s="15">
        <f t="shared" ref="G13" si="19">SUM(F13*$G$4/60)</f>
        <v>65</v>
      </c>
      <c r="H13" s="16">
        <f t="shared" ref="H13" si="20">SUM(C13*A13)</f>
        <v>0</v>
      </c>
      <c r="I13" s="34">
        <f t="shared" ref="I13" si="21">SUM(A13*E13)</f>
        <v>0</v>
      </c>
      <c r="J13" s="34">
        <f t="shared" ref="J13" si="22">SUM(A13*G13)</f>
        <v>0</v>
      </c>
      <c r="K13" s="17">
        <f t="shared" ref="K13" si="23">SUM(I13:J13)</f>
        <v>0</v>
      </c>
    </row>
    <row r="14" spans="1:14 16384:16384" x14ac:dyDescent="0.45">
      <c r="A14" s="18">
        <f>SUM(kalkulation!O11)</f>
        <v>0</v>
      </c>
      <c r="B14" s="18" t="s">
        <v>83</v>
      </c>
      <c r="C14" s="12">
        <v>849.7</v>
      </c>
      <c r="D14" s="13">
        <f t="shared" si="0"/>
        <v>0.5</v>
      </c>
      <c r="E14" s="35">
        <f t="shared" si="12"/>
        <v>1274.5500000000002</v>
      </c>
      <c r="F14" s="14">
        <v>45</v>
      </c>
      <c r="G14" s="15">
        <f t="shared" si="13"/>
        <v>48.75</v>
      </c>
      <c r="H14" s="16">
        <f t="shared" si="14"/>
        <v>0</v>
      </c>
      <c r="I14" s="34">
        <f t="shared" si="15"/>
        <v>0</v>
      </c>
      <c r="J14" s="34">
        <f t="shared" si="16"/>
        <v>0</v>
      </c>
      <c r="K14" s="17">
        <f t="shared" si="17"/>
        <v>0</v>
      </c>
    </row>
    <row r="15" spans="1:14 16384:16384" x14ac:dyDescent="0.45">
      <c r="A15" s="18">
        <f>IF(kalkulation!C21=0,0,1)</f>
        <v>0</v>
      </c>
      <c r="B15" s="18" t="s">
        <v>84</v>
      </c>
      <c r="C15" s="12">
        <v>262.7</v>
      </c>
      <c r="D15" s="13">
        <f t="shared" si="0"/>
        <v>0.5</v>
      </c>
      <c r="E15" s="35">
        <f t="shared" ref="E15" si="24">SUM((C15*D15)+C15)</f>
        <v>394.04999999999995</v>
      </c>
      <c r="F15" s="14">
        <v>30</v>
      </c>
      <c r="G15" s="15">
        <f t="shared" ref="G15" si="25">SUM(F15*$G$4/60)</f>
        <v>32.5</v>
      </c>
      <c r="H15" s="16">
        <f t="shared" ref="H15:H16" si="26">SUM(C15*A15)</f>
        <v>0</v>
      </c>
      <c r="I15" s="34">
        <f t="shared" ref="I15:I16" si="27">SUM(A15*E15)</f>
        <v>0</v>
      </c>
      <c r="J15" s="34">
        <f t="shared" ref="J15:J16" si="28">SUM(A15*G15)</f>
        <v>0</v>
      </c>
      <c r="K15" s="17">
        <f t="shared" ref="K15:K16" si="29">SUM(I15:J15)</f>
        <v>0</v>
      </c>
    </row>
    <row r="16" spans="1:14 16384:16384" x14ac:dyDescent="0.45">
      <c r="A16" s="18">
        <f>IF(AND(kalkulation!N11+kalkulation!O11&gt;8,kalkulation!N11+kalkulation!O11&lt;16),1,0)</f>
        <v>0</v>
      </c>
      <c r="B16" s="18" t="s">
        <v>24</v>
      </c>
      <c r="C16" s="12">
        <v>520</v>
      </c>
      <c r="D16" s="13">
        <f t="shared" si="0"/>
        <v>0.5</v>
      </c>
      <c r="E16" s="35">
        <f t="shared" si="1"/>
        <v>780</v>
      </c>
      <c r="F16" s="14">
        <v>30</v>
      </c>
      <c r="G16" s="15">
        <f t="shared" si="11"/>
        <v>32.5</v>
      </c>
      <c r="H16" s="16">
        <f t="shared" si="26"/>
        <v>0</v>
      </c>
      <c r="I16" s="34">
        <f t="shared" si="27"/>
        <v>0</v>
      </c>
      <c r="J16" s="34">
        <f t="shared" si="28"/>
        <v>0</v>
      </c>
      <c r="K16" s="17">
        <f t="shared" si="29"/>
        <v>0</v>
      </c>
      <c r="XFD16" s="2">
        <f>SUM(I16:XFC16)</f>
        <v>0</v>
      </c>
    </row>
    <row r="17" spans="1:15" x14ac:dyDescent="0.45">
      <c r="A17" s="18">
        <f>SUM(kalkulation!C24+kalkulation!C25)</f>
        <v>0</v>
      </c>
      <c r="B17" s="18" t="s">
        <v>85</v>
      </c>
      <c r="C17" s="12">
        <v>209.4</v>
      </c>
      <c r="D17" s="13">
        <f t="shared" si="0"/>
        <v>0.5</v>
      </c>
      <c r="E17" s="35">
        <f t="shared" si="1"/>
        <v>314.10000000000002</v>
      </c>
      <c r="F17" s="14">
        <v>60</v>
      </c>
      <c r="G17" s="15">
        <f t="shared" si="11"/>
        <v>65</v>
      </c>
      <c r="H17" s="16">
        <f t="shared" si="2"/>
        <v>0</v>
      </c>
      <c r="I17" s="34">
        <f t="shared" si="3"/>
        <v>0</v>
      </c>
      <c r="J17" s="34">
        <f t="shared" si="4"/>
        <v>0</v>
      </c>
      <c r="K17" s="17">
        <f t="shared" si="5"/>
        <v>0</v>
      </c>
    </row>
    <row r="18" spans="1:15" x14ac:dyDescent="0.45">
      <c r="A18" s="18">
        <f>SUM(kalkulation!C26)</f>
        <v>0</v>
      </c>
      <c r="B18" s="18" t="s">
        <v>86</v>
      </c>
      <c r="C18" s="12">
        <v>238</v>
      </c>
      <c r="D18" s="13">
        <f t="shared" si="0"/>
        <v>0.5</v>
      </c>
      <c r="E18" s="35">
        <f t="shared" si="1"/>
        <v>357</v>
      </c>
      <c r="F18" s="14">
        <v>60</v>
      </c>
      <c r="G18" s="15">
        <f t="shared" si="11"/>
        <v>65</v>
      </c>
      <c r="H18" s="16">
        <f t="shared" si="2"/>
        <v>0</v>
      </c>
      <c r="I18" s="34">
        <f t="shared" si="3"/>
        <v>0</v>
      </c>
      <c r="J18" s="34">
        <f t="shared" si="4"/>
        <v>0</v>
      </c>
      <c r="K18" s="17">
        <f t="shared" si="5"/>
        <v>0</v>
      </c>
      <c r="M18" s="7">
        <f>SUM(A17:A18)</f>
        <v>0</v>
      </c>
      <c r="N18">
        <f>IF(M18&gt;10,"zuviel Kameras",0)</f>
        <v>0</v>
      </c>
    </row>
    <row r="19" spans="1:15" x14ac:dyDescent="0.45">
      <c r="A19" s="18">
        <f>IF(M18&lt;1,0,IF(AND(M18&gt;0,M18&lt;17),1,IF(AND(M18&gt;16,M18&lt;33),2,IF(M18&gt;32,0))))</f>
        <v>0</v>
      </c>
      <c r="B19" s="18" t="s">
        <v>87</v>
      </c>
      <c r="C19" s="12">
        <v>1980</v>
      </c>
      <c r="D19" s="13">
        <f t="shared" si="0"/>
        <v>0.5</v>
      </c>
      <c r="E19" s="35">
        <f t="shared" si="1"/>
        <v>2970</v>
      </c>
      <c r="F19" s="14">
        <v>180</v>
      </c>
      <c r="G19" s="15">
        <f t="shared" si="11"/>
        <v>195</v>
      </c>
      <c r="H19" s="16">
        <f t="shared" si="2"/>
        <v>0</v>
      </c>
      <c r="I19" s="34">
        <f t="shared" si="3"/>
        <v>0</v>
      </c>
      <c r="J19" s="34">
        <f t="shared" si="4"/>
        <v>0</v>
      </c>
      <c r="K19" s="17">
        <f t="shared" si="5"/>
        <v>0</v>
      </c>
    </row>
    <row r="20" spans="1:15" x14ac:dyDescent="0.45">
      <c r="A20" s="18">
        <f>SUM(A19)</f>
        <v>0</v>
      </c>
      <c r="B20" s="18" t="s">
        <v>18</v>
      </c>
      <c r="C20" s="12">
        <v>198</v>
      </c>
      <c r="D20" s="13">
        <f t="shared" si="0"/>
        <v>0.5</v>
      </c>
      <c r="E20" s="35">
        <f t="shared" si="1"/>
        <v>297</v>
      </c>
      <c r="F20" s="14">
        <v>30</v>
      </c>
      <c r="G20" s="15">
        <f t="shared" si="11"/>
        <v>32.5</v>
      </c>
      <c r="H20" s="16">
        <f t="shared" si="2"/>
        <v>0</v>
      </c>
      <c r="I20" s="34">
        <f t="shared" si="3"/>
        <v>0</v>
      </c>
      <c r="J20" s="34">
        <f t="shared" si="4"/>
        <v>0</v>
      </c>
      <c r="K20" s="17">
        <f t="shared" si="5"/>
        <v>0</v>
      </c>
    </row>
    <row r="21" spans="1:15" x14ac:dyDescent="0.45">
      <c r="A21" s="18"/>
      <c r="B21" s="18" t="s">
        <v>31</v>
      </c>
      <c r="C21" s="12"/>
      <c r="D21" s="13"/>
      <c r="E21" s="35"/>
      <c r="F21" s="14"/>
      <c r="G21" s="15"/>
      <c r="H21" s="16">
        <f t="shared" ref="H21:H24" si="30">SUM(C21*A21)</f>
        <v>0</v>
      </c>
      <c r="I21" s="34">
        <f t="shared" ref="I21:I24" si="31">SUM(A21*E21)</f>
        <v>0</v>
      </c>
      <c r="J21" s="34">
        <f t="shared" ref="J21:J24" si="32">SUM(A21*G21)</f>
        <v>0</v>
      </c>
      <c r="K21" s="17">
        <f t="shared" ref="K21:K24" si="33">SUM(I21:J21)</f>
        <v>0</v>
      </c>
    </row>
    <row r="22" spans="1:15" x14ac:dyDescent="0.45">
      <c r="A22" s="18">
        <f>IF(A8+A9+A10+A11+A19&gt;0,1,0)</f>
        <v>0</v>
      </c>
      <c r="B22" s="18" t="s">
        <v>32</v>
      </c>
      <c r="C22" s="12">
        <v>0</v>
      </c>
      <c r="D22" s="13">
        <f t="shared" si="0"/>
        <v>0.5</v>
      </c>
      <c r="E22" s="35">
        <v>200</v>
      </c>
      <c r="F22" s="14">
        <v>60</v>
      </c>
      <c r="G22" s="15">
        <f t="shared" ref="G22:G24" si="34">SUM(F22*$G$4/60)</f>
        <v>65</v>
      </c>
      <c r="H22" s="16">
        <f t="shared" si="30"/>
        <v>0</v>
      </c>
      <c r="I22" s="34">
        <f t="shared" si="31"/>
        <v>0</v>
      </c>
      <c r="J22" s="34">
        <f t="shared" si="32"/>
        <v>0</v>
      </c>
      <c r="K22" s="17">
        <f t="shared" si="33"/>
        <v>0</v>
      </c>
    </row>
    <row r="23" spans="1:15" x14ac:dyDescent="0.45">
      <c r="A23" s="18">
        <f>IF(M7&gt;0,1,0)</f>
        <v>0</v>
      </c>
      <c r="B23" s="18" t="s">
        <v>88</v>
      </c>
      <c r="C23" s="12">
        <v>2413.8000000000002</v>
      </c>
      <c r="D23" s="13">
        <f t="shared" si="0"/>
        <v>0.5</v>
      </c>
      <c r="E23" s="35">
        <f t="shared" ref="E23:E24" si="35">SUM((C23*D23)+C23)</f>
        <v>3620.7000000000003</v>
      </c>
      <c r="F23" s="14">
        <v>300</v>
      </c>
      <c r="G23" s="15">
        <f t="shared" si="34"/>
        <v>325</v>
      </c>
      <c r="H23" s="16">
        <f t="shared" si="30"/>
        <v>0</v>
      </c>
      <c r="I23" s="34">
        <f t="shared" si="31"/>
        <v>0</v>
      </c>
      <c r="J23" s="34">
        <f t="shared" si="32"/>
        <v>0</v>
      </c>
      <c r="K23" s="17">
        <f t="shared" si="33"/>
        <v>0</v>
      </c>
    </row>
    <row r="24" spans="1:15" x14ac:dyDescent="0.45">
      <c r="A24" s="18">
        <f>IF(kalkulation!C15&gt;0,1,0)</f>
        <v>0</v>
      </c>
      <c r="B24" s="18" t="s">
        <v>6</v>
      </c>
      <c r="C24" s="12">
        <v>2413.8000000000002</v>
      </c>
      <c r="D24" s="13">
        <f t="shared" si="0"/>
        <v>0.5</v>
      </c>
      <c r="E24" s="35">
        <f t="shared" si="35"/>
        <v>3620.7000000000003</v>
      </c>
      <c r="F24" s="14">
        <v>60</v>
      </c>
      <c r="G24" s="15">
        <f t="shared" si="34"/>
        <v>65</v>
      </c>
      <c r="H24" s="16">
        <f t="shared" si="30"/>
        <v>0</v>
      </c>
      <c r="I24" s="34">
        <f t="shared" si="31"/>
        <v>0</v>
      </c>
      <c r="J24" s="34">
        <f t="shared" si="32"/>
        <v>0</v>
      </c>
      <c r="K24" s="17">
        <f t="shared" si="33"/>
        <v>0</v>
      </c>
    </row>
    <row r="25" spans="1:15" x14ac:dyDescent="0.45">
      <c r="A25" s="18">
        <f>IF(kalkulation!C18&gt;0,1,0)</f>
        <v>0</v>
      </c>
      <c r="B25" s="18" t="s">
        <v>33</v>
      </c>
      <c r="C25" s="12">
        <v>2413.8000000000002</v>
      </c>
      <c r="D25" s="13">
        <f t="shared" si="0"/>
        <v>0.5</v>
      </c>
      <c r="E25" s="35">
        <f t="shared" si="1"/>
        <v>3620.7000000000003</v>
      </c>
      <c r="F25" s="14">
        <v>60</v>
      </c>
      <c r="G25" s="15">
        <f t="shared" si="11"/>
        <v>65</v>
      </c>
      <c r="H25" s="16">
        <f t="shared" si="2"/>
        <v>0</v>
      </c>
      <c r="I25" s="34">
        <f t="shared" si="3"/>
        <v>0</v>
      </c>
      <c r="J25" s="34">
        <f t="shared" si="4"/>
        <v>0</v>
      </c>
      <c r="K25" s="17">
        <f t="shared" si="5"/>
        <v>0</v>
      </c>
    </row>
    <row r="26" spans="1:15" x14ac:dyDescent="0.45">
      <c r="A26" s="18">
        <f>IF(kalkulation!C14&gt;0,1,0)</f>
        <v>0</v>
      </c>
      <c r="B26" s="18" t="s">
        <v>64</v>
      </c>
      <c r="C26" s="12">
        <v>2413.8000000000002</v>
      </c>
      <c r="D26" s="13">
        <f t="shared" si="0"/>
        <v>0.5</v>
      </c>
      <c r="E26" s="35">
        <f t="shared" ref="E26" si="36">SUM((C26*D26)+C26)</f>
        <v>3620.7000000000003</v>
      </c>
      <c r="F26" s="14">
        <v>60</v>
      </c>
      <c r="G26" s="15">
        <f t="shared" ref="G26" si="37">SUM(F26*$G$4/60)</f>
        <v>65</v>
      </c>
      <c r="H26" s="16">
        <f t="shared" ref="H26" si="38">SUM(C26*A26)</f>
        <v>0</v>
      </c>
      <c r="I26" s="34">
        <f t="shared" ref="I26" si="39">SUM(A26*E26)</f>
        <v>0</v>
      </c>
      <c r="J26" s="34">
        <f t="shared" ref="J26" si="40">SUM(A26*G26)</f>
        <v>0</v>
      </c>
      <c r="K26" s="17">
        <f t="shared" ref="K26" si="41">SUM(I26:J26)</f>
        <v>0</v>
      </c>
      <c r="O26" s="2"/>
    </row>
    <row r="27" spans="1:15" x14ac:dyDescent="0.45">
      <c r="A27" s="18">
        <f>SUM(kalkulation!C31)</f>
        <v>0</v>
      </c>
      <c r="B27" s="18" t="s">
        <v>34</v>
      </c>
      <c r="C27" s="12">
        <v>400</v>
      </c>
      <c r="D27" s="13">
        <f t="shared" si="0"/>
        <v>0.5</v>
      </c>
      <c r="E27" s="35">
        <f t="shared" si="1"/>
        <v>600</v>
      </c>
      <c r="F27" s="14">
        <v>60</v>
      </c>
      <c r="G27" s="15">
        <f t="shared" si="11"/>
        <v>65</v>
      </c>
      <c r="H27" s="16">
        <f t="shared" si="2"/>
        <v>0</v>
      </c>
      <c r="I27" s="34">
        <f t="shared" si="3"/>
        <v>0</v>
      </c>
      <c r="J27" s="34">
        <f t="shared" si="4"/>
        <v>0</v>
      </c>
      <c r="K27" s="17">
        <f t="shared" si="5"/>
        <v>0</v>
      </c>
    </row>
    <row r="28" spans="1:15" x14ac:dyDescent="0.45">
      <c r="H28" s="2">
        <f>SUM(H5:H27)</f>
        <v>0</v>
      </c>
      <c r="J28" s="2">
        <f>SUM(J5:J27)</f>
        <v>0</v>
      </c>
      <c r="K28" s="32">
        <f>SUM(K5:K27)</f>
        <v>0</v>
      </c>
    </row>
    <row r="30" spans="1:15" s="24" customFormat="1" ht="28.5" x14ac:dyDescent="0.45">
      <c r="B30" s="118" t="s">
        <v>26</v>
      </c>
      <c r="C30" s="27" t="s">
        <v>28</v>
      </c>
      <c r="D30" s="28" t="s">
        <v>29</v>
      </c>
      <c r="E30" s="29" t="s">
        <v>25</v>
      </c>
      <c r="F30" s="30" t="s">
        <v>30</v>
      </c>
      <c r="G30" s="30" t="s">
        <v>27</v>
      </c>
      <c r="I30" s="31" t="s">
        <v>35</v>
      </c>
      <c r="J30" s="31" t="s">
        <v>36</v>
      </c>
      <c r="K30" s="30" t="s">
        <v>37</v>
      </c>
      <c r="M30" s="25"/>
    </row>
    <row r="31" spans="1:15" x14ac:dyDescent="0.45">
      <c r="B31" s="118"/>
      <c r="C31" s="21">
        <v>20</v>
      </c>
      <c r="D31" s="20">
        <v>30</v>
      </c>
      <c r="E31" s="26">
        <v>20</v>
      </c>
      <c r="F31">
        <v>60</v>
      </c>
    </row>
    <row r="32" spans="1:15" x14ac:dyDescent="0.45">
      <c r="B32" s="118"/>
      <c r="C32" s="22">
        <f>SUM(M6+M18)*20/60</f>
        <v>0</v>
      </c>
      <c r="D32" s="23">
        <f>SUM((A8+A9+A10+A11+A19)*D31)/60</f>
        <v>0</v>
      </c>
      <c r="E32" s="22">
        <f>SUM((A14+A12)*E31/60)</f>
        <v>0</v>
      </c>
      <c r="F32">
        <f>SUM(A22+A23+A24+A25+A26)*F31/60</f>
        <v>0</v>
      </c>
      <c r="G32" s="19">
        <v>85</v>
      </c>
      <c r="I32" s="19">
        <f>SUM(C32+D32+E32+F32)*G32</f>
        <v>0</v>
      </c>
      <c r="J32" s="19">
        <f>SUM(I32*2)</f>
        <v>0</v>
      </c>
      <c r="K32" s="19">
        <f>SUM(J32/12)</f>
        <v>0</v>
      </c>
    </row>
    <row r="33" spans="2:11" ht="6" customHeight="1" x14ac:dyDescent="0.45"/>
    <row r="34" spans="2:11" x14ac:dyDescent="0.45">
      <c r="B34" s="33" t="s">
        <v>38</v>
      </c>
      <c r="K34" s="1">
        <v>95</v>
      </c>
    </row>
    <row r="36" spans="2:11" x14ac:dyDescent="0.45">
      <c r="B36" s="38" t="s">
        <v>39</v>
      </c>
      <c r="C36" s="39">
        <f>SUM((((K28*N5)+K28)/36)+K32)</f>
        <v>0</v>
      </c>
    </row>
  </sheetData>
  <sheetProtection algorithmName="SHA-512" hashValue="JHqQczQwZxQxf/YOu3xyC3O5vW1g4iXW2FXOtOEhKtyeaDWrBV/TMULk7WKP57tWmFBrboRQTIo4lFqPEwElmg==" saltValue="ulaswRBhWiP0aw97qRxJJg==" spinCount="100000" sheet="1" objects="1" scenarios="1"/>
  <mergeCells count="10">
    <mergeCell ref="H3:H4"/>
    <mergeCell ref="I3:I4"/>
    <mergeCell ref="J3:J4"/>
    <mergeCell ref="K3:K4"/>
    <mergeCell ref="F3:G3"/>
    <mergeCell ref="A3:A4"/>
    <mergeCell ref="B3:B4"/>
    <mergeCell ref="C3:C4"/>
    <mergeCell ref="E3:E4"/>
    <mergeCell ref="B30:B3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WolfgangDoelling</dc:creator>
  <cp:lastModifiedBy>WolfgangDoelling</cp:lastModifiedBy>
  <cp:lastPrinted>2021-04-07T14:23:14Z</cp:lastPrinted>
  <dcterms:created xsi:type="dcterms:W3CDTF">2021-03-19T19:38:17Z</dcterms:created>
  <dcterms:modified xsi:type="dcterms:W3CDTF">2021-12-14T14:08:35Z</dcterms:modified>
</cp:coreProperties>
</file>